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X:\1- DILIC\1- COLSETEC 2025\CONCORRENCIA 2025\VEICULO AQUATICO\"/>
    </mc:Choice>
  </mc:AlternateContent>
  <xr:revisionPtr revIDLastSave="0" documentId="13_ncr:1_{AFA4B208-44AF-44FA-9BA9-079C31DA8A3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ojeção e TIR" sheetId="1" r:id="rId1"/>
    <sheet name="BAC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9" i="1" l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H35" i="1"/>
  <c r="I35" i="1" s="1"/>
  <c r="G35" i="1"/>
  <c r="F35" i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E20" i="1"/>
  <c r="F18" i="1"/>
  <c r="E18" i="1"/>
  <c r="F17" i="1"/>
  <c r="G17" i="1" s="1"/>
  <c r="H13" i="1"/>
  <c r="G13" i="1"/>
  <c r="F13" i="1"/>
  <c r="D8" i="1"/>
  <c r="D28" i="1" s="1"/>
  <c r="D5" i="1"/>
  <c r="E19" i="1" l="1"/>
  <c r="E22" i="1" s="1"/>
  <c r="E23" i="1" s="1"/>
  <c r="E25" i="1" s="1"/>
  <c r="I13" i="1"/>
  <c r="J35" i="1"/>
  <c r="G18" i="1"/>
  <c r="H17" i="1"/>
  <c r="E27" i="1"/>
  <c r="F20" i="1"/>
  <c r="E26" i="1" l="1"/>
  <c r="E28" i="1"/>
  <c r="J13" i="1"/>
  <c r="K35" i="1"/>
  <c r="G20" i="1"/>
  <c r="F19" i="1"/>
  <c r="H18" i="1"/>
  <c r="I17" i="1"/>
  <c r="J17" i="1" l="1"/>
  <c r="I18" i="1"/>
  <c r="F22" i="1"/>
  <c r="F23" i="1" s="1"/>
  <c r="F25" i="1" s="1"/>
  <c r="F27" i="1"/>
  <c r="H20" i="1"/>
  <c r="G19" i="1"/>
  <c r="K13" i="1"/>
  <c r="L35" i="1"/>
  <c r="E29" i="1"/>
  <c r="K17" i="1" l="1"/>
  <c r="J18" i="1"/>
  <c r="L13" i="1"/>
  <c r="M35" i="1"/>
  <c r="G22" i="1"/>
  <c r="G27" i="1"/>
  <c r="G23" i="1"/>
  <c r="G25" i="1" s="1"/>
  <c r="I20" i="1"/>
  <c r="H19" i="1"/>
  <c r="F26" i="1"/>
  <c r="F28" i="1"/>
  <c r="F29" i="1" l="1"/>
  <c r="G26" i="1"/>
  <c r="G28" i="1"/>
  <c r="G29" i="1" s="1"/>
  <c r="H22" i="1"/>
  <c r="H23" i="1" s="1"/>
  <c r="H25" i="1" s="1"/>
  <c r="H27" i="1"/>
  <c r="J20" i="1"/>
  <c r="I19" i="1"/>
  <c r="M13" i="1"/>
  <c r="N35" i="1"/>
  <c r="K18" i="1"/>
  <c r="L17" i="1"/>
  <c r="O35" i="1" l="1"/>
  <c r="N13" i="1"/>
  <c r="K20" i="1"/>
  <c r="J19" i="1"/>
  <c r="H26" i="1"/>
  <c r="H28" i="1"/>
  <c r="L18" i="1"/>
  <c r="M17" i="1"/>
  <c r="I27" i="1"/>
  <c r="I22" i="1"/>
  <c r="I23" i="1" s="1"/>
  <c r="I25" i="1" s="1"/>
  <c r="I28" i="1" l="1"/>
  <c r="I29" i="1" s="1"/>
  <c r="I26" i="1"/>
  <c r="H29" i="1"/>
  <c r="M18" i="1"/>
  <c r="N17" i="1"/>
  <c r="J27" i="1"/>
  <c r="J22" i="1"/>
  <c r="J23" i="1" s="1"/>
  <c r="J25" i="1" s="1"/>
  <c r="L20" i="1"/>
  <c r="K19" i="1"/>
  <c r="P35" i="1"/>
  <c r="O13" i="1"/>
  <c r="J28" i="1" l="1"/>
  <c r="J29" i="1" s="1"/>
  <c r="J26" i="1"/>
  <c r="K27" i="1"/>
  <c r="K22" i="1"/>
  <c r="K23" i="1" s="1"/>
  <c r="K25" i="1" s="1"/>
  <c r="N18" i="1"/>
  <c r="O17" i="1"/>
  <c r="Q35" i="1"/>
  <c r="P13" i="1"/>
  <c r="M20" i="1"/>
  <c r="L19" i="1"/>
  <c r="K28" i="1" l="1"/>
  <c r="K29" i="1" s="1"/>
  <c r="K26" i="1"/>
  <c r="L27" i="1"/>
  <c r="L22" i="1"/>
  <c r="L23" i="1" s="1"/>
  <c r="L25" i="1" s="1"/>
  <c r="N20" i="1"/>
  <c r="M19" i="1"/>
  <c r="R35" i="1"/>
  <c r="Q13" i="1"/>
  <c r="O18" i="1"/>
  <c r="P17" i="1"/>
  <c r="L28" i="1" l="1"/>
  <c r="L29" i="1" s="1"/>
  <c r="L26" i="1"/>
  <c r="P18" i="1"/>
  <c r="Q17" i="1"/>
  <c r="S35" i="1"/>
  <c r="S13" i="1" s="1"/>
  <c r="R13" i="1"/>
  <c r="M27" i="1"/>
  <c r="M22" i="1"/>
  <c r="M23" i="1" s="1"/>
  <c r="M25" i="1" s="1"/>
  <c r="N19" i="1"/>
  <c r="O20" i="1"/>
  <c r="M28" i="1" l="1"/>
  <c r="M29" i="1" s="1"/>
  <c r="M26" i="1"/>
  <c r="N27" i="1"/>
  <c r="N22" i="1"/>
  <c r="N23" i="1" s="1"/>
  <c r="N25" i="1" s="1"/>
  <c r="Q18" i="1"/>
  <c r="R17" i="1"/>
  <c r="O19" i="1"/>
  <c r="P20" i="1"/>
  <c r="N26" i="1" l="1"/>
  <c r="N28" i="1"/>
  <c r="N29" i="1" s="1"/>
  <c r="P19" i="1"/>
  <c r="Q20" i="1"/>
  <c r="S17" i="1"/>
  <c r="S18" i="1" s="1"/>
  <c r="R18" i="1"/>
  <c r="O22" i="1"/>
  <c r="O23" i="1" s="1"/>
  <c r="O25" i="1" s="1"/>
  <c r="O27" i="1"/>
  <c r="O26" i="1" l="1"/>
  <c r="O28" i="1"/>
  <c r="O29" i="1" s="1"/>
  <c r="Q19" i="1"/>
  <c r="R20" i="1"/>
  <c r="P27" i="1"/>
  <c r="P22" i="1"/>
  <c r="P23" i="1" s="1"/>
  <c r="P25" i="1" s="1"/>
  <c r="P26" i="1" l="1"/>
  <c r="P28" i="1"/>
  <c r="P29" i="1" s="1"/>
  <c r="S20" i="1"/>
  <c r="S19" i="1" s="1"/>
  <c r="R19" i="1"/>
  <c r="Q27" i="1"/>
  <c r="Q22" i="1"/>
  <c r="Q23" i="1" s="1"/>
  <c r="Q25" i="1" s="1"/>
  <c r="Q26" i="1" l="1"/>
  <c r="Q28" i="1"/>
  <c r="Q29" i="1" s="1"/>
  <c r="R22" i="1"/>
  <c r="R27" i="1"/>
  <c r="R23" i="1"/>
  <c r="R25" i="1" s="1"/>
  <c r="S22" i="1"/>
  <c r="S27" i="1"/>
  <c r="S23" i="1"/>
  <c r="S25" i="1" s="1"/>
  <c r="S26" i="1" l="1"/>
  <c r="S28" i="1"/>
  <c r="R26" i="1"/>
  <c r="R28" i="1"/>
  <c r="R29" i="1" s="1"/>
  <c r="S29" i="1" l="1"/>
  <c r="D31" i="1"/>
</calcChain>
</file>

<file path=xl/sharedStrings.xml><?xml version="1.0" encoding="utf-8"?>
<sst xmlns="http://schemas.openxmlformats.org/spreadsheetml/2006/main" count="42" uniqueCount="33">
  <si>
    <t>Premissas</t>
  </si>
  <si>
    <t>Público esperado/ ano</t>
  </si>
  <si>
    <t>Ticket Médio</t>
  </si>
  <si>
    <t>Impostos indiretos totais</t>
  </si>
  <si>
    <t>ISS</t>
  </si>
  <si>
    <t>Outros...</t>
  </si>
  <si>
    <t>Investimento inicial</t>
  </si>
  <si>
    <t>Opex médio/ ano</t>
  </si>
  <si>
    <t>Crescimento real esperado/ ano</t>
  </si>
  <si>
    <t>PIB</t>
  </si>
  <si>
    <t>Imposto de renda (Simples Nacional)</t>
  </si>
  <si>
    <t>Crescimento real escolhido</t>
  </si>
  <si>
    <t>n.a.</t>
  </si>
  <si>
    <t>Ajuste anual de preço</t>
  </si>
  <si>
    <t>Input</t>
  </si>
  <si>
    <t>Ajuste anual OPEX</t>
  </si>
  <si>
    <t>Projeção Econômico-financeira</t>
  </si>
  <si>
    <t>Receita operacional Bruta</t>
  </si>
  <si>
    <t>(-) Impostos sobre receita</t>
  </si>
  <si>
    <t>(=) Receita líquida</t>
  </si>
  <si>
    <t>OPEX</t>
  </si>
  <si>
    <t>(=) Resultado operacional</t>
  </si>
  <si>
    <t>Mg. % operacional</t>
  </si>
  <si>
    <t>Simples Nacional</t>
  </si>
  <si>
    <t>(=) Lucro/ Prejuízo Líquido</t>
  </si>
  <si>
    <t>Mg. % líquida</t>
  </si>
  <si>
    <t>TIR do Projeto</t>
  </si>
  <si>
    <t>Suporte</t>
  </si>
  <si>
    <t>Outro</t>
  </si>
  <si>
    <t>PIB Total e IPCA - variação % sobre o mesmo período do ano anterior - Média - Base: Expectativas informadas nos últimos 30 dias</t>
  </si>
  <si>
    <t>Data</t>
  </si>
  <si>
    <t>PIB Total</t>
  </si>
  <si>
    <t>IPCA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</si>
</sst>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\-??_-;_-@_-"/>
    <numFmt numFmtId="165" formatCode="_-* #,##0_-;\-* #,##0_-;_-* \-??_-;_-@_-"/>
    <numFmt numFmtId="166" formatCode="0.0%"/>
    <numFmt numFmtId="167" formatCode="[$-416]mmm\-yy;@"/>
    <numFmt numFmtId="168" formatCode="#,##0;\(#,##0\);\-"/>
    <numFmt numFmtId="169" formatCode="d/m/yyyy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color rgb="FFFFFFFF"/>
      <name val="Calibri"/>
      <family val="2"/>
      <charset val="1"/>
    </font>
    <font>
      <sz val="11"/>
      <color rgb="FF0070C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i/>
      <sz val="11"/>
      <color rgb="FF0070C0"/>
      <name val="Calibri"/>
      <family val="2"/>
      <charset val="1"/>
    </font>
    <font>
      <sz val="11"/>
      <name val="Calibri"/>
      <family val="2"/>
      <charset val="1"/>
    </font>
    <font>
      <sz val="9"/>
      <color rgb="FF002060"/>
      <name val="Calibri"/>
      <family val="2"/>
      <charset val="1"/>
    </font>
    <font>
      <sz val="11"/>
      <color rgb="FFBFBFBF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FBE5D6"/>
        <bgColor rgb="FFF2F2F2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164" fontId="10" fillId="0" borderId="0" applyBorder="0" applyProtection="0"/>
    <xf numFmtId="0" fontId="1" fillId="0" borderId="0"/>
  </cellStyleXfs>
  <cellXfs count="40">
    <xf numFmtId="0" fontId="0" fillId="0" borderId="0" xfId="0"/>
    <xf numFmtId="0" fontId="2" fillId="2" borderId="0" xfId="0" applyFont="1" applyFill="1"/>
    <xf numFmtId="165" fontId="3" fillId="3" borderId="1" xfId="1" applyNumberFormat="1" applyFont="1" applyFill="1" applyBorder="1" applyProtection="1"/>
    <xf numFmtId="164" fontId="3" fillId="3" borderId="1" xfId="1" applyFont="1" applyFill="1" applyBorder="1" applyProtection="1"/>
    <xf numFmtId="9" fontId="4" fillId="0" borderId="1" xfId="1" applyNumberFormat="1" applyFont="1" applyBorder="1" applyProtection="1"/>
    <xf numFmtId="0" fontId="5" fillId="0" borderId="0" xfId="0" applyFont="1" applyAlignment="1">
      <alignment horizontal="left" indent="1"/>
    </xf>
    <xf numFmtId="0" fontId="5" fillId="0" borderId="0" xfId="0" applyFont="1"/>
    <xf numFmtId="9" fontId="6" fillId="3" borderId="1" xfId="1" applyNumberFormat="1" applyFont="1" applyFill="1" applyBorder="1" applyProtection="1"/>
    <xf numFmtId="165" fontId="3" fillId="3" borderId="1" xfId="1" applyNumberFormat="1" applyFont="1" applyFill="1" applyBorder="1" applyAlignment="1" applyProtection="1">
      <alignment horizontal="right"/>
    </xf>
    <xf numFmtId="9" fontId="3" fillId="3" borderId="1" xfId="1" applyNumberFormat="1" applyFont="1" applyFill="1" applyBorder="1" applyProtection="1"/>
    <xf numFmtId="165" fontId="0" fillId="0" borderId="0" xfId="0" applyNumberFormat="1" applyAlignment="1">
      <alignment horizontal="center"/>
    </xf>
    <xf numFmtId="9" fontId="7" fillId="0" borderId="1" xfId="1" applyNumberFormat="1" applyFont="1" applyBorder="1" applyAlignment="1" applyProtection="1">
      <alignment horizontal="right"/>
    </xf>
    <xf numFmtId="166" fontId="7" fillId="0" borderId="1" xfId="1" applyNumberFormat="1" applyFont="1" applyBorder="1" applyProtection="1"/>
    <xf numFmtId="9" fontId="3" fillId="3" borderId="1" xfId="1" applyNumberFormat="1" applyFont="1" applyFill="1" applyBorder="1" applyAlignment="1" applyProtection="1">
      <alignment horizontal="right"/>
    </xf>
    <xf numFmtId="166" fontId="3" fillId="3" borderId="1" xfId="1" applyNumberFormat="1" applyFont="1" applyFill="1" applyBorder="1" applyProtection="1"/>
    <xf numFmtId="0" fontId="2" fillId="2" borderId="0" xfId="0" applyFont="1" applyFill="1" applyAlignment="1">
      <alignment horizontal="right"/>
    </xf>
    <xf numFmtId="167" fontId="2" fillId="2" borderId="0" xfId="0" applyNumberFormat="1" applyFont="1" applyFill="1" applyAlignment="1">
      <alignment horizontal="right"/>
    </xf>
    <xf numFmtId="0" fontId="4" fillId="0" borderId="0" xfId="0" applyFont="1"/>
    <xf numFmtId="168" fontId="4" fillId="0" borderId="0" xfId="1" applyNumberFormat="1" applyFont="1" applyBorder="1" applyProtection="1"/>
    <xf numFmtId="0" fontId="0" fillId="0" borderId="0" xfId="0" applyAlignment="1">
      <alignment horizontal="left" indent="1"/>
    </xf>
    <xf numFmtId="165" fontId="0" fillId="0" borderId="0" xfId="0" applyNumberFormat="1"/>
    <xf numFmtId="164" fontId="0" fillId="0" borderId="0" xfId="0" applyNumberFormat="1"/>
    <xf numFmtId="9" fontId="5" fillId="0" borderId="0" xfId="0" applyNumberFormat="1" applyFont="1" applyAlignment="1">
      <alignment horizontal="center"/>
    </xf>
    <xf numFmtId="168" fontId="10" fillId="0" borderId="0" xfId="1" applyNumberFormat="1" applyBorder="1" applyProtection="1"/>
    <xf numFmtId="0" fontId="4" fillId="0" borderId="2" xfId="0" applyFont="1" applyBorder="1"/>
    <xf numFmtId="168" fontId="4" fillId="0" borderId="2" xfId="1" applyNumberFormat="1" applyFont="1" applyBorder="1" applyProtection="1"/>
    <xf numFmtId="0" fontId="8" fillId="0" borderId="0" xfId="0" applyFont="1"/>
    <xf numFmtId="166" fontId="8" fillId="0" borderId="0" xfId="0" applyNumberFormat="1" applyFont="1"/>
    <xf numFmtId="168" fontId="9" fillId="0" borderId="2" xfId="1" applyNumberFormat="1" applyFont="1" applyBorder="1" applyProtection="1"/>
    <xf numFmtId="0" fontId="4" fillId="4" borderId="2" xfId="0" applyFont="1" applyFill="1" applyBorder="1"/>
    <xf numFmtId="166" fontId="4" fillId="4" borderId="3" xfId="0" applyNumberFormat="1" applyFont="1" applyFill="1" applyBorder="1"/>
    <xf numFmtId="0" fontId="0" fillId="0" borderId="4" xfId="0" applyBorder="1" applyAlignment="1">
      <alignment horizontal="left" indent="1"/>
    </xf>
    <xf numFmtId="0" fontId="0" fillId="0" borderId="4" xfId="0" applyBorder="1"/>
    <xf numFmtId="0" fontId="0" fillId="0" borderId="5" xfId="0" applyBorder="1" applyAlignment="1">
      <alignment horizontal="right"/>
    </xf>
    <xf numFmtId="166" fontId="0" fillId="0" borderId="5" xfId="0" applyNumberFormat="1" applyBorder="1"/>
    <xf numFmtId="166" fontId="0" fillId="5" borderId="5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left"/>
    </xf>
    <xf numFmtId="10" fontId="0" fillId="0" borderId="0" xfId="0" applyNumberFormat="1"/>
  </cellXfs>
  <cellStyles count="3">
    <cellStyle name="Normal" xfId="0" builtinId="0"/>
    <cellStyle name="Normal 2" xfId="2" xr:uid="{00000000-0005-0000-0000-00000600000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EEBF7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135000</xdr:colOff>
      <xdr:row>9</xdr:row>
      <xdr:rowOff>7920</xdr:rowOff>
    </xdr:from>
    <xdr:to>
      <xdr:col>34</xdr:col>
      <xdr:colOff>444240</xdr:colOff>
      <xdr:row>26</xdr:row>
      <xdr:rowOff>37440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082800" y="1676880"/>
          <a:ext cx="7035480" cy="3305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6"/>
  <sheetViews>
    <sheetView showGridLines="0" tabSelected="1" zoomScaleNormal="100" workbookViewId="0">
      <selection activeCell="D5" sqref="D5"/>
    </sheetView>
  </sheetViews>
  <sheetFormatPr defaultColWidth="8.7109375" defaultRowHeight="15" x14ac:dyDescent="0.25"/>
  <cols>
    <col min="1" max="1" width="3.42578125" customWidth="1"/>
    <col min="2" max="2" width="21.7109375" customWidth="1"/>
    <col min="3" max="3" width="9.7109375" customWidth="1"/>
    <col min="4" max="19" width="11.5703125" customWidth="1"/>
    <col min="20" max="23" width="3.28515625" customWidth="1"/>
  </cols>
  <sheetData>
    <row r="2" spans="2:19" x14ac:dyDescent="0.25">
      <c r="B2" s="1" t="s">
        <v>0</v>
      </c>
      <c r="C2" s="1"/>
      <c r="D2" s="1"/>
    </row>
    <row r="3" spans="2:19" x14ac:dyDescent="0.25">
      <c r="B3" t="s">
        <v>1</v>
      </c>
      <c r="D3" s="2">
        <v>61440</v>
      </c>
    </row>
    <row r="4" spans="2:19" x14ac:dyDescent="0.25">
      <c r="B4" t="s">
        <v>2</v>
      </c>
      <c r="D4" s="3">
        <v>27</v>
      </c>
    </row>
    <row r="5" spans="2:19" x14ac:dyDescent="0.25">
      <c r="B5" t="s">
        <v>3</v>
      </c>
      <c r="D5" s="4">
        <f>SUM(D6+D7)</f>
        <v>0</v>
      </c>
    </row>
    <row r="6" spans="2:19" x14ac:dyDescent="0.25">
      <c r="B6" s="5" t="s">
        <v>4</v>
      </c>
      <c r="C6" s="6"/>
      <c r="D6" s="7">
        <v>0</v>
      </c>
    </row>
    <row r="7" spans="2:19" x14ac:dyDescent="0.25">
      <c r="B7" s="5" t="s">
        <v>5</v>
      </c>
      <c r="C7" s="6"/>
      <c r="D7" s="7"/>
    </row>
    <row r="8" spans="2:19" x14ac:dyDescent="0.25">
      <c r="B8" t="s">
        <v>6</v>
      </c>
      <c r="D8" s="2">
        <f>(64197.91*10)+(10*2*192.93)</f>
        <v>645837.70000000007</v>
      </c>
    </row>
    <row r="9" spans="2:19" x14ac:dyDescent="0.25">
      <c r="B9" t="s">
        <v>7</v>
      </c>
      <c r="D9" s="2">
        <f>96591.39*12</f>
        <v>1159096.68</v>
      </c>
    </row>
    <row r="10" spans="2:19" x14ac:dyDescent="0.25">
      <c r="B10" t="s">
        <v>8</v>
      </c>
      <c r="D10" s="8" t="s">
        <v>9</v>
      </c>
    </row>
    <row r="11" spans="2:19" x14ac:dyDescent="0.25">
      <c r="B11" t="s">
        <v>10</v>
      </c>
      <c r="D11" s="9">
        <v>0.16</v>
      </c>
    </row>
    <row r="13" spans="2:19" x14ac:dyDescent="0.25">
      <c r="B13" t="s">
        <v>11</v>
      </c>
      <c r="D13" s="10"/>
      <c r="E13" s="11" t="s">
        <v>12</v>
      </c>
      <c r="F13" s="12">
        <f t="shared" ref="F13:S13" si="0">IF($D$10="Zero",0,IF($D$10="PIB",F35,F36))</f>
        <v>2.5000000000000001E-2</v>
      </c>
      <c r="G13" s="12">
        <f t="shared" si="0"/>
        <v>2.5000000000000001E-2</v>
      </c>
      <c r="H13" s="12">
        <f t="shared" si="0"/>
        <v>2.5000000000000001E-2</v>
      </c>
      <c r="I13" s="12">
        <f t="shared" si="0"/>
        <v>2.5000000000000001E-2</v>
      </c>
      <c r="J13" s="12">
        <f t="shared" si="0"/>
        <v>2.5000000000000001E-2</v>
      </c>
      <c r="K13" s="12">
        <f t="shared" si="0"/>
        <v>2.5000000000000001E-2</v>
      </c>
      <c r="L13" s="12">
        <f t="shared" si="0"/>
        <v>2.5000000000000001E-2</v>
      </c>
      <c r="M13" s="12">
        <f t="shared" si="0"/>
        <v>2.5000000000000001E-2</v>
      </c>
      <c r="N13" s="12">
        <f t="shared" si="0"/>
        <v>2.5000000000000001E-2</v>
      </c>
      <c r="O13" s="12">
        <f t="shared" si="0"/>
        <v>2.5000000000000001E-2</v>
      </c>
      <c r="P13" s="12">
        <f t="shared" si="0"/>
        <v>2.5000000000000001E-2</v>
      </c>
      <c r="Q13" s="12">
        <f t="shared" si="0"/>
        <v>2.5000000000000001E-2</v>
      </c>
      <c r="R13" s="12">
        <f t="shared" si="0"/>
        <v>2.5000000000000001E-2</v>
      </c>
      <c r="S13" s="12">
        <f t="shared" si="0"/>
        <v>2.5000000000000001E-2</v>
      </c>
    </row>
    <row r="14" spans="2:19" x14ac:dyDescent="0.25">
      <c r="B14" t="s">
        <v>13</v>
      </c>
      <c r="D14" s="10" t="s">
        <v>14</v>
      </c>
      <c r="E14" s="13" t="s">
        <v>12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</row>
    <row r="15" spans="2:19" x14ac:dyDescent="0.25">
      <c r="B15" t="s">
        <v>15</v>
      </c>
      <c r="D15" s="10" t="s">
        <v>14</v>
      </c>
      <c r="E15" s="13" t="s">
        <v>12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</row>
    <row r="17" spans="2:19" x14ac:dyDescent="0.25">
      <c r="E17">
        <v>1</v>
      </c>
      <c r="F17">
        <f t="shared" ref="F17:S17" si="1">E17+1</f>
        <v>2</v>
      </c>
      <c r="G17">
        <f t="shared" si="1"/>
        <v>3</v>
      </c>
      <c r="H17">
        <f t="shared" si="1"/>
        <v>4</v>
      </c>
      <c r="I17">
        <f t="shared" si="1"/>
        <v>5</v>
      </c>
      <c r="J17">
        <f t="shared" si="1"/>
        <v>6</v>
      </c>
      <c r="K17">
        <f t="shared" si="1"/>
        <v>7</v>
      </c>
      <c r="L17">
        <f t="shared" si="1"/>
        <v>8</v>
      </c>
      <c r="M17">
        <f t="shared" si="1"/>
        <v>9</v>
      </c>
      <c r="N17">
        <f t="shared" si="1"/>
        <v>10</v>
      </c>
      <c r="O17">
        <f t="shared" si="1"/>
        <v>11</v>
      </c>
      <c r="P17">
        <f t="shared" si="1"/>
        <v>12</v>
      </c>
      <c r="Q17">
        <f t="shared" si="1"/>
        <v>13</v>
      </c>
      <c r="R17">
        <f t="shared" si="1"/>
        <v>14</v>
      </c>
      <c r="S17">
        <f t="shared" si="1"/>
        <v>15</v>
      </c>
    </row>
    <row r="18" spans="2:19" x14ac:dyDescent="0.25">
      <c r="B18" s="1" t="s">
        <v>16</v>
      </c>
      <c r="C18" s="1"/>
      <c r="D18" s="15"/>
      <c r="E18" s="16" t="str">
        <f t="shared" ref="E18:S18" si="2">"Ano "&amp;E17</f>
        <v>Ano 1</v>
      </c>
      <c r="F18" s="16" t="str">
        <f t="shared" si="2"/>
        <v>Ano 2</v>
      </c>
      <c r="G18" s="16" t="str">
        <f t="shared" si="2"/>
        <v>Ano 3</v>
      </c>
      <c r="H18" s="16" t="str">
        <f t="shared" si="2"/>
        <v>Ano 4</v>
      </c>
      <c r="I18" s="16" t="str">
        <f t="shared" si="2"/>
        <v>Ano 5</v>
      </c>
      <c r="J18" s="16" t="str">
        <f t="shared" si="2"/>
        <v>Ano 6</v>
      </c>
      <c r="K18" s="16" t="str">
        <f t="shared" si="2"/>
        <v>Ano 7</v>
      </c>
      <c r="L18" s="16" t="str">
        <f t="shared" si="2"/>
        <v>Ano 8</v>
      </c>
      <c r="M18" s="16" t="str">
        <f t="shared" si="2"/>
        <v>Ano 9</v>
      </c>
      <c r="N18" s="16" t="str">
        <f t="shared" si="2"/>
        <v>Ano 10</v>
      </c>
      <c r="O18" s="16" t="str">
        <f t="shared" si="2"/>
        <v>Ano 11</v>
      </c>
      <c r="P18" s="16" t="str">
        <f t="shared" si="2"/>
        <v>Ano 12</v>
      </c>
      <c r="Q18" s="16" t="str">
        <f t="shared" si="2"/>
        <v>Ano 13</v>
      </c>
      <c r="R18" s="16" t="str">
        <f t="shared" si="2"/>
        <v>Ano 14</v>
      </c>
      <c r="S18" s="16" t="str">
        <f t="shared" si="2"/>
        <v>Ano 15</v>
      </c>
    </row>
    <row r="19" spans="2:19" x14ac:dyDescent="0.25">
      <c r="B19" s="17" t="s">
        <v>17</v>
      </c>
      <c r="C19" s="17"/>
      <c r="D19" s="17"/>
      <c r="E19" s="18">
        <f t="shared" ref="E19:S19" si="3">E20*E21</f>
        <v>1658880</v>
      </c>
      <c r="F19" s="18">
        <f t="shared" si="3"/>
        <v>1700351.9999999998</v>
      </c>
      <c r="G19" s="18">
        <f t="shared" si="3"/>
        <v>1742860.7999999996</v>
      </c>
      <c r="H19" s="18">
        <f t="shared" si="3"/>
        <v>1786432.3199999994</v>
      </c>
      <c r="I19" s="18">
        <f t="shared" si="3"/>
        <v>1831093.1279999991</v>
      </c>
      <c r="J19" s="18">
        <f t="shared" si="3"/>
        <v>1876870.4561999987</v>
      </c>
      <c r="K19" s="18">
        <f t="shared" si="3"/>
        <v>1923792.2176049985</v>
      </c>
      <c r="L19" s="18">
        <f t="shared" si="3"/>
        <v>1971887.0230451236</v>
      </c>
      <c r="M19" s="18">
        <f t="shared" si="3"/>
        <v>2021184.1986212514</v>
      </c>
      <c r="N19" s="18">
        <f t="shared" si="3"/>
        <v>2071713.8035867824</v>
      </c>
      <c r="O19" s="18">
        <f t="shared" si="3"/>
        <v>2123506.6486764518</v>
      </c>
      <c r="P19" s="18">
        <f t="shared" si="3"/>
        <v>2176594.314893363</v>
      </c>
      <c r="Q19" s="18">
        <f t="shared" si="3"/>
        <v>2231009.1727656969</v>
      </c>
      <c r="R19" s="18">
        <f t="shared" si="3"/>
        <v>2286784.4020848391</v>
      </c>
      <c r="S19" s="18">
        <f t="shared" si="3"/>
        <v>2343954.0121369599</v>
      </c>
    </row>
    <row r="20" spans="2:19" x14ac:dyDescent="0.25">
      <c r="B20" s="19" t="s">
        <v>1</v>
      </c>
      <c r="E20" s="20">
        <f>D3</f>
        <v>61440</v>
      </c>
      <c r="F20" s="20">
        <f t="shared" ref="F20:S20" si="4">E20*(1+F13)</f>
        <v>62975.999999999993</v>
      </c>
      <c r="G20" s="20">
        <f t="shared" si="4"/>
        <v>64550.399999999987</v>
      </c>
      <c r="H20" s="20">
        <f t="shared" si="4"/>
        <v>66164.159999999974</v>
      </c>
      <c r="I20" s="20">
        <f t="shared" si="4"/>
        <v>67818.263999999966</v>
      </c>
      <c r="J20" s="20">
        <f t="shared" si="4"/>
        <v>69513.720599999957</v>
      </c>
      <c r="K20" s="20">
        <f t="shared" si="4"/>
        <v>71251.563614999948</v>
      </c>
      <c r="L20" s="20">
        <f t="shared" si="4"/>
        <v>73032.852705374942</v>
      </c>
      <c r="M20" s="20">
        <f t="shared" si="4"/>
        <v>74858.674023009313</v>
      </c>
      <c r="N20" s="20">
        <f t="shared" si="4"/>
        <v>76730.140873584533</v>
      </c>
      <c r="O20" s="20">
        <f t="shared" si="4"/>
        <v>78648.39439542414</v>
      </c>
      <c r="P20" s="20">
        <f t="shared" si="4"/>
        <v>80614.604255309736</v>
      </c>
      <c r="Q20" s="20">
        <f t="shared" si="4"/>
        <v>82629.969361692478</v>
      </c>
      <c r="R20" s="20">
        <f t="shared" si="4"/>
        <v>84695.718595734783</v>
      </c>
      <c r="S20" s="20">
        <f t="shared" si="4"/>
        <v>86813.111560628138</v>
      </c>
    </row>
    <row r="21" spans="2:19" x14ac:dyDescent="0.25">
      <c r="B21" s="19" t="s">
        <v>2</v>
      </c>
      <c r="C21" s="17"/>
      <c r="D21" s="17"/>
      <c r="E21" s="21">
        <f>D4</f>
        <v>27</v>
      </c>
      <c r="F21" s="21">
        <f t="shared" ref="F21:S21" si="5">E21*(1+F14)</f>
        <v>27</v>
      </c>
      <c r="G21" s="21">
        <f t="shared" si="5"/>
        <v>27</v>
      </c>
      <c r="H21" s="21">
        <f t="shared" si="5"/>
        <v>27</v>
      </c>
      <c r="I21" s="21">
        <f t="shared" si="5"/>
        <v>27</v>
      </c>
      <c r="J21" s="21">
        <f t="shared" si="5"/>
        <v>27</v>
      </c>
      <c r="K21" s="21">
        <f t="shared" si="5"/>
        <v>27</v>
      </c>
      <c r="L21" s="21">
        <f t="shared" si="5"/>
        <v>27</v>
      </c>
      <c r="M21" s="21">
        <f t="shared" si="5"/>
        <v>27</v>
      </c>
      <c r="N21" s="21">
        <f t="shared" si="5"/>
        <v>27</v>
      </c>
      <c r="O21" s="21">
        <f t="shared" si="5"/>
        <v>27</v>
      </c>
      <c r="P21" s="21">
        <f t="shared" si="5"/>
        <v>27</v>
      </c>
      <c r="Q21" s="21">
        <f t="shared" si="5"/>
        <v>27</v>
      </c>
      <c r="R21" s="21">
        <f t="shared" si="5"/>
        <v>27</v>
      </c>
      <c r="S21" s="21">
        <f t="shared" si="5"/>
        <v>27</v>
      </c>
    </row>
    <row r="22" spans="2:19" x14ac:dyDescent="0.25">
      <c r="B22" t="s">
        <v>18</v>
      </c>
      <c r="D22" s="22"/>
      <c r="E22" s="23">
        <f t="shared" ref="E22:S22" si="6">E19*-$D$5</f>
        <v>0</v>
      </c>
      <c r="F22" s="23">
        <f t="shared" si="6"/>
        <v>0</v>
      </c>
      <c r="G22" s="23">
        <f t="shared" si="6"/>
        <v>0</v>
      </c>
      <c r="H22" s="23">
        <f t="shared" si="6"/>
        <v>0</v>
      </c>
      <c r="I22" s="23">
        <f t="shared" si="6"/>
        <v>0</v>
      </c>
      <c r="J22" s="23">
        <f t="shared" si="6"/>
        <v>0</v>
      </c>
      <c r="K22" s="23">
        <f t="shared" si="6"/>
        <v>0</v>
      </c>
      <c r="L22" s="23">
        <f t="shared" si="6"/>
        <v>0</v>
      </c>
      <c r="M22" s="23">
        <f t="shared" si="6"/>
        <v>0</v>
      </c>
      <c r="N22" s="23">
        <f t="shared" si="6"/>
        <v>0</v>
      </c>
      <c r="O22" s="23">
        <f t="shared" si="6"/>
        <v>0</v>
      </c>
      <c r="P22" s="23">
        <f t="shared" si="6"/>
        <v>0</v>
      </c>
      <c r="Q22" s="23">
        <f t="shared" si="6"/>
        <v>0</v>
      </c>
      <c r="R22" s="23">
        <f t="shared" si="6"/>
        <v>0</v>
      </c>
      <c r="S22" s="23">
        <f t="shared" si="6"/>
        <v>0</v>
      </c>
    </row>
    <row r="23" spans="2:19" x14ac:dyDescent="0.25">
      <c r="B23" s="24" t="s">
        <v>19</v>
      </c>
      <c r="C23" s="24"/>
      <c r="D23" s="24"/>
      <c r="E23" s="25">
        <f t="shared" ref="E23:S23" si="7">E19+E22</f>
        <v>1658880</v>
      </c>
      <c r="F23" s="25">
        <f t="shared" si="7"/>
        <v>1700351.9999999998</v>
      </c>
      <c r="G23" s="25">
        <f t="shared" si="7"/>
        <v>1742860.7999999996</v>
      </c>
      <c r="H23" s="25">
        <f t="shared" si="7"/>
        <v>1786432.3199999994</v>
      </c>
      <c r="I23" s="25">
        <f t="shared" si="7"/>
        <v>1831093.1279999991</v>
      </c>
      <c r="J23" s="25">
        <f t="shared" si="7"/>
        <v>1876870.4561999987</v>
      </c>
      <c r="K23" s="25">
        <f t="shared" si="7"/>
        <v>1923792.2176049985</v>
      </c>
      <c r="L23" s="25">
        <f t="shared" si="7"/>
        <v>1971887.0230451236</v>
      </c>
      <c r="M23" s="25">
        <f t="shared" si="7"/>
        <v>2021184.1986212514</v>
      </c>
      <c r="N23" s="25">
        <f t="shared" si="7"/>
        <v>2071713.8035867824</v>
      </c>
      <c r="O23" s="25">
        <f t="shared" si="7"/>
        <v>2123506.6486764518</v>
      </c>
      <c r="P23" s="25">
        <f t="shared" si="7"/>
        <v>2176594.314893363</v>
      </c>
      <c r="Q23" s="25">
        <f t="shared" si="7"/>
        <v>2231009.1727656969</v>
      </c>
      <c r="R23" s="25">
        <f t="shared" si="7"/>
        <v>2286784.4020848391</v>
      </c>
      <c r="S23" s="25">
        <f t="shared" si="7"/>
        <v>2343954.0121369599</v>
      </c>
    </row>
    <row r="24" spans="2:19" x14ac:dyDescent="0.25">
      <c r="B24" t="s">
        <v>20</v>
      </c>
      <c r="E24" s="23">
        <f>-$D$9</f>
        <v>-1159096.68</v>
      </c>
      <c r="F24" s="23">
        <f t="shared" ref="F24:S24" si="8">E24*(1+F15)</f>
        <v>-1159096.68</v>
      </c>
      <c r="G24" s="23">
        <f t="shared" si="8"/>
        <v>-1159096.68</v>
      </c>
      <c r="H24" s="23">
        <f t="shared" si="8"/>
        <v>-1159096.68</v>
      </c>
      <c r="I24" s="23">
        <f t="shared" si="8"/>
        <v>-1159096.68</v>
      </c>
      <c r="J24" s="23">
        <f t="shared" si="8"/>
        <v>-1159096.68</v>
      </c>
      <c r="K24" s="23">
        <f t="shared" si="8"/>
        <v>-1159096.68</v>
      </c>
      <c r="L24" s="23">
        <f t="shared" si="8"/>
        <v>-1159096.68</v>
      </c>
      <c r="M24" s="23">
        <f t="shared" si="8"/>
        <v>-1159096.68</v>
      </c>
      <c r="N24" s="23">
        <f t="shared" si="8"/>
        <v>-1159096.68</v>
      </c>
      <c r="O24" s="23">
        <f t="shared" si="8"/>
        <v>-1159096.68</v>
      </c>
      <c r="P24" s="23">
        <f t="shared" si="8"/>
        <v>-1159096.68</v>
      </c>
      <c r="Q24" s="23">
        <f t="shared" si="8"/>
        <v>-1159096.68</v>
      </c>
      <c r="R24" s="23">
        <f t="shared" si="8"/>
        <v>-1159096.68</v>
      </c>
      <c r="S24" s="23">
        <f t="shared" si="8"/>
        <v>-1159096.68</v>
      </c>
    </row>
    <row r="25" spans="2:19" x14ac:dyDescent="0.25">
      <c r="B25" s="24" t="s">
        <v>21</v>
      </c>
      <c r="C25" s="24"/>
      <c r="D25" s="24"/>
      <c r="E25" s="25">
        <f t="shared" ref="E25:S25" si="9">SUM(E23:E24)</f>
        <v>499783.32000000007</v>
      </c>
      <c r="F25" s="25">
        <f t="shared" si="9"/>
        <v>541255.31999999983</v>
      </c>
      <c r="G25" s="25">
        <f t="shared" si="9"/>
        <v>583764.11999999965</v>
      </c>
      <c r="H25" s="25">
        <f t="shared" si="9"/>
        <v>627335.63999999943</v>
      </c>
      <c r="I25" s="25">
        <f t="shared" si="9"/>
        <v>671996.44799999916</v>
      </c>
      <c r="J25" s="25">
        <f t="shared" si="9"/>
        <v>717773.7761999988</v>
      </c>
      <c r="K25" s="25">
        <f t="shared" si="9"/>
        <v>764695.53760499856</v>
      </c>
      <c r="L25" s="25">
        <f t="shared" si="9"/>
        <v>812790.34304512362</v>
      </c>
      <c r="M25" s="25">
        <f t="shared" si="9"/>
        <v>862087.51862125145</v>
      </c>
      <c r="N25" s="25">
        <f t="shared" si="9"/>
        <v>912617.12358678249</v>
      </c>
      <c r="O25" s="25">
        <f t="shared" si="9"/>
        <v>964409.96867645183</v>
      </c>
      <c r="P25" s="25">
        <f t="shared" si="9"/>
        <v>1017497.6348933631</v>
      </c>
      <c r="Q25" s="25">
        <f t="shared" si="9"/>
        <v>1071912.492765697</v>
      </c>
      <c r="R25" s="25">
        <f t="shared" si="9"/>
        <v>1127687.7220848391</v>
      </c>
      <c r="S25" s="25">
        <f t="shared" si="9"/>
        <v>1184857.33213696</v>
      </c>
    </row>
    <row r="26" spans="2:19" x14ac:dyDescent="0.25">
      <c r="B26" s="26" t="s">
        <v>22</v>
      </c>
      <c r="C26" s="26"/>
      <c r="D26" s="26"/>
      <c r="E26" s="27">
        <f t="shared" ref="E26:S26" si="10">E25/E$23</f>
        <v>0.30127756076388895</v>
      </c>
      <c r="F26" s="27">
        <f t="shared" si="10"/>
        <v>0.31831957147696471</v>
      </c>
      <c r="G26" s="27">
        <f t="shared" si="10"/>
        <v>0.33494592339216062</v>
      </c>
      <c r="H26" s="27">
        <f t="shared" si="10"/>
        <v>0.35116675452893714</v>
      </c>
      <c r="I26" s="27">
        <f t="shared" si="10"/>
        <v>0.36699195563798737</v>
      </c>
      <c r="J26" s="27">
        <f t="shared" si="10"/>
        <v>0.38243117623218265</v>
      </c>
      <c r="K26" s="27">
        <f t="shared" si="10"/>
        <v>0.39749383047042203</v>
      </c>
      <c r="L26" s="27">
        <f t="shared" si="10"/>
        <v>0.41218910289797278</v>
      </c>
      <c r="M26" s="27">
        <f t="shared" si="10"/>
        <v>0.4265259540468026</v>
      </c>
      <c r="N26" s="27">
        <f t="shared" si="10"/>
        <v>0.44051312589931957</v>
      </c>
      <c r="O26" s="27">
        <f t="shared" si="10"/>
        <v>0.45415914721884831</v>
      </c>
      <c r="P26" s="27">
        <f t="shared" si="10"/>
        <v>0.46747233875009592</v>
      </c>
      <c r="Q26" s="27">
        <f t="shared" si="10"/>
        <v>0.48046081829277643</v>
      </c>
      <c r="R26" s="27">
        <f t="shared" si="10"/>
        <v>0.49313250565148914</v>
      </c>
      <c r="S26" s="27">
        <f t="shared" si="10"/>
        <v>0.50549512746486747</v>
      </c>
    </row>
    <row r="27" spans="2:19" x14ac:dyDescent="0.25">
      <c r="B27" t="s">
        <v>23</v>
      </c>
      <c r="E27" s="23">
        <f t="shared" ref="E27:S27" si="11">E19*-$D$11+35640</f>
        <v>-229780.8</v>
      </c>
      <c r="F27" s="23">
        <f t="shared" si="11"/>
        <v>-236416.31999999995</v>
      </c>
      <c r="G27" s="23">
        <f t="shared" si="11"/>
        <v>-243217.72799999994</v>
      </c>
      <c r="H27" s="23">
        <f t="shared" si="11"/>
        <v>-250189.17119999992</v>
      </c>
      <c r="I27" s="23">
        <f t="shared" si="11"/>
        <v>-257334.90047999984</v>
      </c>
      <c r="J27" s="23">
        <f t="shared" si="11"/>
        <v>-264659.27299199981</v>
      </c>
      <c r="K27" s="23">
        <f t="shared" si="11"/>
        <v>-272166.75481679977</v>
      </c>
      <c r="L27" s="23">
        <f t="shared" si="11"/>
        <v>-279861.92368721979</v>
      </c>
      <c r="M27" s="23">
        <f t="shared" si="11"/>
        <v>-287749.47177940025</v>
      </c>
      <c r="N27" s="23">
        <f t="shared" si="11"/>
        <v>-295834.2085738852</v>
      </c>
      <c r="O27" s="23">
        <f t="shared" si="11"/>
        <v>-304121.06378823228</v>
      </c>
      <c r="P27" s="23">
        <f t="shared" si="11"/>
        <v>-312615.0903829381</v>
      </c>
      <c r="Q27" s="23">
        <f t="shared" si="11"/>
        <v>-321321.46764251153</v>
      </c>
      <c r="R27" s="23">
        <f t="shared" si="11"/>
        <v>-330245.50433357427</v>
      </c>
      <c r="S27" s="23">
        <f t="shared" si="11"/>
        <v>-339392.64194191358</v>
      </c>
    </row>
    <row r="28" spans="2:19" x14ac:dyDescent="0.25">
      <c r="B28" s="24" t="s">
        <v>24</v>
      </c>
      <c r="C28" s="24"/>
      <c r="D28" s="28">
        <f>-D8</f>
        <v>-645837.70000000007</v>
      </c>
      <c r="E28" s="25">
        <f t="shared" ref="E28:S28" si="12">E25+E27</f>
        <v>270002.52000000008</v>
      </c>
      <c r="F28" s="25">
        <f t="shared" si="12"/>
        <v>304838.99999999988</v>
      </c>
      <c r="G28" s="25">
        <f t="shared" si="12"/>
        <v>340546.3919999997</v>
      </c>
      <c r="H28" s="25">
        <f t="shared" si="12"/>
        <v>377146.46879999951</v>
      </c>
      <c r="I28" s="25">
        <f t="shared" si="12"/>
        <v>414661.54751999932</v>
      </c>
      <c r="J28" s="25">
        <f t="shared" si="12"/>
        <v>453114.50320799899</v>
      </c>
      <c r="K28" s="25">
        <f t="shared" si="12"/>
        <v>492528.78278819879</v>
      </c>
      <c r="L28" s="25">
        <f t="shared" si="12"/>
        <v>532928.41935790377</v>
      </c>
      <c r="M28" s="25">
        <f t="shared" si="12"/>
        <v>574338.0468418512</v>
      </c>
      <c r="N28" s="25">
        <f t="shared" si="12"/>
        <v>616782.91501289723</v>
      </c>
      <c r="O28" s="25">
        <f t="shared" si="12"/>
        <v>660288.90488821955</v>
      </c>
      <c r="P28" s="25">
        <f t="shared" si="12"/>
        <v>704882.54451042507</v>
      </c>
      <c r="Q28" s="25">
        <f t="shared" si="12"/>
        <v>750591.02512318548</v>
      </c>
      <c r="R28" s="25">
        <f t="shared" si="12"/>
        <v>797442.2177512648</v>
      </c>
      <c r="S28" s="25">
        <f t="shared" si="12"/>
        <v>845464.69019504637</v>
      </c>
    </row>
    <row r="29" spans="2:19" x14ac:dyDescent="0.25">
      <c r="B29" s="26" t="s">
        <v>25</v>
      </c>
      <c r="C29" s="26"/>
      <c r="D29" s="26"/>
      <c r="E29" s="27">
        <f t="shared" ref="E29:S29" si="13">E28/E$23</f>
        <v>0.16276193576388895</v>
      </c>
      <c r="F29" s="27">
        <f t="shared" si="13"/>
        <v>0.17927993733062325</v>
      </c>
      <c r="G29" s="27">
        <f t="shared" si="13"/>
        <v>0.19539506081036409</v>
      </c>
      <c r="H29" s="27">
        <f t="shared" si="13"/>
        <v>0.21111713249791608</v>
      </c>
      <c r="I29" s="27">
        <f t="shared" si="13"/>
        <v>0.22645573902235711</v>
      </c>
      <c r="J29" s="27">
        <f t="shared" si="13"/>
        <v>0.24142023319254338</v>
      </c>
      <c r="K29" s="27">
        <f t="shared" si="13"/>
        <v>0.25601973970004227</v>
      </c>
      <c r="L29" s="27">
        <f t="shared" si="13"/>
        <v>0.27026316068296807</v>
      </c>
      <c r="M29" s="27">
        <f t="shared" si="13"/>
        <v>0.28415918115411515</v>
      </c>
      <c r="N29" s="27">
        <f t="shared" si="13"/>
        <v>0.29771627429669761</v>
      </c>
      <c r="O29" s="27">
        <f t="shared" si="13"/>
        <v>0.31094270663092449</v>
      </c>
      <c r="P29" s="27">
        <f t="shared" si="13"/>
        <v>0.32384654305456045</v>
      </c>
      <c r="Q29" s="27">
        <f t="shared" si="13"/>
        <v>0.33643565176054674</v>
      </c>
      <c r="R29" s="27">
        <f t="shared" si="13"/>
        <v>0.34871770903467963</v>
      </c>
      <c r="S29" s="27">
        <f t="shared" si="13"/>
        <v>0.36070020393627283</v>
      </c>
    </row>
    <row r="31" spans="2:19" x14ac:dyDescent="0.25">
      <c r="B31" s="29" t="s">
        <v>26</v>
      </c>
      <c r="C31" s="29"/>
      <c r="D31" s="30">
        <f>IRR(D28:S28)</f>
        <v>0.52348414464756643</v>
      </c>
    </row>
    <row r="34" spans="2:19" x14ac:dyDescent="0.25">
      <c r="B34" t="s">
        <v>27</v>
      </c>
    </row>
    <row r="35" spans="2:19" x14ac:dyDescent="0.25">
      <c r="B35" s="31" t="s">
        <v>9</v>
      </c>
      <c r="C35" s="32"/>
      <c r="D35" s="32"/>
      <c r="E35" s="33" t="s">
        <v>12</v>
      </c>
      <c r="F35" s="34">
        <f>BACEN!D3</f>
        <v>2.5000000000000001E-2</v>
      </c>
      <c r="G35" s="34">
        <f>BACEN!E3</f>
        <v>2.5000000000000001E-2</v>
      </c>
      <c r="H35" s="34">
        <f>BACEN!F3</f>
        <v>2.5000000000000001E-2</v>
      </c>
      <c r="I35" s="35">
        <f t="shared" ref="I35:S35" si="14">H35</f>
        <v>2.5000000000000001E-2</v>
      </c>
      <c r="J35" s="35">
        <f t="shared" si="14"/>
        <v>2.5000000000000001E-2</v>
      </c>
      <c r="K35" s="35">
        <f t="shared" si="14"/>
        <v>2.5000000000000001E-2</v>
      </c>
      <c r="L35" s="35">
        <f t="shared" si="14"/>
        <v>2.5000000000000001E-2</v>
      </c>
      <c r="M35" s="35">
        <f t="shared" si="14"/>
        <v>2.5000000000000001E-2</v>
      </c>
      <c r="N35" s="35">
        <f t="shared" si="14"/>
        <v>2.5000000000000001E-2</v>
      </c>
      <c r="O35" s="35">
        <f t="shared" si="14"/>
        <v>2.5000000000000001E-2</v>
      </c>
      <c r="P35" s="35">
        <f t="shared" si="14"/>
        <v>2.5000000000000001E-2</v>
      </c>
      <c r="Q35" s="35">
        <f t="shared" si="14"/>
        <v>2.5000000000000001E-2</v>
      </c>
      <c r="R35" s="35">
        <f t="shared" si="14"/>
        <v>2.5000000000000001E-2</v>
      </c>
      <c r="S35" s="35">
        <f t="shared" si="14"/>
        <v>2.5000000000000001E-2</v>
      </c>
    </row>
    <row r="36" spans="2:19" x14ac:dyDescent="0.25">
      <c r="B36" s="19" t="s">
        <v>28</v>
      </c>
      <c r="D36" s="36" t="s">
        <v>14</v>
      </c>
      <c r="E36" s="33" t="s">
        <v>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</sheetData>
  <dataValidations count="1">
    <dataValidation type="list" allowBlank="1" showInputMessage="1" showErrorMessage="1" sqref="D10" xr:uid="{00000000-0002-0000-0000-000000000000}">
      <formula1>"PIB,Zero,Outro"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showGridLines="0" zoomScaleNormal="100" workbookViewId="0">
      <selection activeCell="E10" sqref="E10"/>
    </sheetView>
  </sheetViews>
  <sheetFormatPr defaultColWidth="8.7109375" defaultRowHeight="15" x14ac:dyDescent="0.25"/>
  <cols>
    <col min="1" max="1" width="23.42578125" customWidth="1"/>
    <col min="257" max="257" width="23.42578125" customWidth="1"/>
    <col min="513" max="513" width="23.42578125" customWidth="1"/>
    <col min="769" max="769" width="23.42578125" customWidth="1"/>
    <col min="1025" max="1025" width="23.42578125" customWidth="1"/>
    <col min="1281" max="1281" width="23.42578125" customWidth="1"/>
    <col min="1537" max="1537" width="23.42578125" customWidth="1"/>
    <col min="1793" max="1793" width="23.42578125" customWidth="1"/>
    <col min="2049" max="2049" width="23.42578125" customWidth="1"/>
    <col min="2305" max="2305" width="23.42578125" customWidth="1"/>
    <col min="2561" max="2561" width="23.42578125" customWidth="1"/>
    <col min="2817" max="2817" width="23.42578125" customWidth="1"/>
    <col min="3073" max="3073" width="23.42578125" customWidth="1"/>
    <col min="3329" max="3329" width="23.42578125" customWidth="1"/>
    <col min="3585" max="3585" width="23.42578125" customWidth="1"/>
    <col min="3841" max="3841" width="23.42578125" customWidth="1"/>
    <col min="4097" max="4097" width="23.42578125" customWidth="1"/>
    <col min="4353" max="4353" width="23.42578125" customWidth="1"/>
    <col min="4609" max="4609" width="23.42578125" customWidth="1"/>
    <col min="4865" max="4865" width="23.42578125" customWidth="1"/>
    <col min="5121" max="5121" width="23.42578125" customWidth="1"/>
    <col min="5377" max="5377" width="23.42578125" customWidth="1"/>
    <col min="5633" max="5633" width="23.42578125" customWidth="1"/>
    <col min="5889" max="5889" width="23.42578125" customWidth="1"/>
    <col min="6145" max="6145" width="23.42578125" customWidth="1"/>
    <col min="6401" max="6401" width="23.42578125" customWidth="1"/>
    <col min="6657" max="6657" width="23.42578125" customWidth="1"/>
    <col min="6913" max="6913" width="23.42578125" customWidth="1"/>
    <col min="7169" max="7169" width="23.42578125" customWidth="1"/>
    <col min="7425" max="7425" width="23.42578125" customWidth="1"/>
    <col min="7681" max="7681" width="23.42578125" customWidth="1"/>
    <col min="7937" max="7937" width="23.42578125" customWidth="1"/>
    <col min="8193" max="8193" width="23.42578125" customWidth="1"/>
    <col min="8449" max="8449" width="23.42578125" customWidth="1"/>
    <col min="8705" max="8705" width="23.42578125" customWidth="1"/>
    <col min="8961" max="8961" width="23.42578125" customWidth="1"/>
    <col min="9217" max="9217" width="23.42578125" customWidth="1"/>
    <col min="9473" max="9473" width="23.42578125" customWidth="1"/>
    <col min="9729" max="9729" width="23.42578125" customWidth="1"/>
    <col min="9985" max="9985" width="23.42578125" customWidth="1"/>
    <col min="10241" max="10241" width="23.42578125" customWidth="1"/>
    <col min="10497" max="10497" width="23.42578125" customWidth="1"/>
    <col min="10753" max="10753" width="23.42578125" customWidth="1"/>
    <col min="11009" max="11009" width="23.42578125" customWidth="1"/>
    <col min="11265" max="11265" width="23.42578125" customWidth="1"/>
    <col min="11521" max="11521" width="23.42578125" customWidth="1"/>
    <col min="11777" max="11777" width="23.42578125" customWidth="1"/>
    <col min="12033" max="12033" width="23.42578125" customWidth="1"/>
    <col min="12289" max="12289" width="23.42578125" customWidth="1"/>
    <col min="12545" max="12545" width="23.42578125" customWidth="1"/>
    <col min="12801" max="12801" width="23.42578125" customWidth="1"/>
    <col min="13057" max="13057" width="23.42578125" customWidth="1"/>
    <col min="13313" max="13313" width="23.42578125" customWidth="1"/>
    <col min="13569" max="13569" width="23.42578125" customWidth="1"/>
    <col min="13825" max="13825" width="23.42578125" customWidth="1"/>
    <col min="14081" max="14081" width="23.42578125" customWidth="1"/>
    <col min="14337" max="14337" width="23.42578125" customWidth="1"/>
    <col min="14593" max="14593" width="23.42578125" customWidth="1"/>
    <col min="14849" max="14849" width="23.42578125" customWidth="1"/>
    <col min="15105" max="15105" width="23.42578125" customWidth="1"/>
    <col min="15361" max="15361" width="23.42578125" customWidth="1"/>
    <col min="15617" max="15617" width="23.42578125" customWidth="1"/>
    <col min="15873" max="15873" width="23.42578125" customWidth="1"/>
    <col min="16129" max="16129" width="23.42578125" customWidth="1"/>
  </cols>
  <sheetData>
    <row r="1" spans="1:6" x14ac:dyDescent="0.25">
      <c r="A1" t="s">
        <v>29</v>
      </c>
    </row>
    <row r="2" spans="1:6" x14ac:dyDescent="0.25">
      <c r="A2" s="37" t="s">
        <v>30</v>
      </c>
      <c r="B2" s="37">
        <v>2025</v>
      </c>
      <c r="C2" s="37">
        <v>2026</v>
      </c>
      <c r="D2" s="37">
        <v>2027</v>
      </c>
      <c r="E2" s="37">
        <v>2028</v>
      </c>
      <c r="F2" s="37">
        <v>2029</v>
      </c>
    </row>
    <row r="3" spans="1:6" x14ac:dyDescent="0.25">
      <c r="A3" s="38" t="s">
        <v>31</v>
      </c>
      <c r="B3" s="39">
        <v>2.5000000000000001E-2</v>
      </c>
      <c r="C3" s="39">
        <v>0.02</v>
      </c>
      <c r="D3" s="39">
        <v>2.5000000000000001E-2</v>
      </c>
      <c r="E3" s="39">
        <v>2.5000000000000001E-2</v>
      </c>
      <c r="F3" s="39">
        <v>2.5000000000000001E-2</v>
      </c>
    </row>
    <row r="4" spans="1:6" x14ac:dyDescent="0.25">
      <c r="A4" t="s">
        <v>32</v>
      </c>
      <c r="B4" s="39">
        <v>4.7521000000000001E-2</v>
      </c>
      <c r="C4" s="39">
        <v>0.04</v>
      </c>
      <c r="D4" s="39">
        <v>3.5994999999999999E-2</v>
      </c>
      <c r="E4" s="39">
        <v>3.5000000000000003E-2</v>
      </c>
      <c r="F4" s="39">
        <v>3.5000000000000003E-2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Projeção e TIR</vt:lpstr>
      <vt:lpstr>BACEN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Adani</dc:creator>
  <dc:description/>
  <cp:lastModifiedBy>setec7</cp:lastModifiedBy>
  <cp:revision>15</cp:revision>
  <dcterms:created xsi:type="dcterms:W3CDTF">2015-06-05T18:17:20Z</dcterms:created>
  <dcterms:modified xsi:type="dcterms:W3CDTF">2025-08-11T18:10:46Z</dcterms:modified>
  <dc:language>pt-BR</dc:language>
</cp:coreProperties>
</file>